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-4\OneDrive\Рабочий стол\Бийка\Бийкинское поселение\Бийка 2024\Бюджет на 2024 изм 3\"/>
    </mc:Choice>
  </mc:AlternateContent>
  <bookViews>
    <workbookView xWindow="240" yWindow="45" windowWidth="20115" windowHeight="7995" activeTab="1"/>
  </bookViews>
  <sheets>
    <sheet name="муниципалы" sheetId="1" r:id="rId1"/>
    <sheet name="Спец. тех персонал" sheetId="2" r:id="rId2"/>
    <sheet name="ФОТ годовой" sheetId="3" r:id="rId3"/>
  </sheets>
  <definedNames>
    <definedName name="_xlnm.Print_Area" localSheetId="2">'ФОТ годовой'!$A$1:$G$32</definedName>
  </definedNames>
  <calcPr calcId="152511"/>
</workbook>
</file>

<file path=xl/calcChain.xml><?xml version="1.0" encoding="utf-8"?>
<calcChain xmlns="http://schemas.openxmlformats.org/spreadsheetml/2006/main">
  <c r="H8" i="3" l="1"/>
  <c r="F23" i="2" l="1"/>
  <c r="L23" i="2" s="1"/>
  <c r="F19" i="2"/>
  <c r="L19" i="2" s="1"/>
  <c r="F15" i="2"/>
  <c r="H15" i="2" s="1"/>
  <c r="F8" i="2"/>
  <c r="J8" i="2" s="1"/>
  <c r="F9" i="2"/>
  <c r="J9" i="2" s="1"/>
  <c r="F10" i="2"/>
  <c r="H10" i="2" s="1"/>
  <c r="F11" i="2"/>
  <c r="H11" i="2" s="1"/>
  <c r="F7" i="2"/>
  <c r="H7" i="2" s="1"/>
  <c r="H8" i="2" l="1"/>
  <c r="J7" i="2"/>
  <c r="L9" i="2"/>
  <c r="J15" i="2"/>
  <c r="J19" i="2"/>
  <c r="J11" i="2"/>
  <c r="L8" i="2"/>
  <c r="L15" i="2"/>
  <c r="H9" i="2"/>
  <c r="L11" i="2"/>
  <c r="L10" i="2"/>
  <c r="J10" i="2"/>
  <c r="L7" i="2"/>
  <c r="H23" i="2"/>
  <c r="J23" i="2"/>
  <c r="E12" i="2"/>
  <c r="B16" i="3"/>
  <c r="A16" i="3"/>
  <c r="D8" i="3"/>
  <c r="M15" i="2" l="1"/>
  <c r="N15" i="2" s="1"/>
  <c r="K14" i="1"/>
  <c r="E14" i="1"/>
  <c r="E16" i="2" l="1"/>
  <c r="D16" i="2"/>
  <c r="D12" i="2"/>
  <c r="M23" i="2" l="1"/>
  <c r="N23" i="2" s="1"/>
  <c r="H19" i="2"/>
  <c r="M19" i="2" s="1"/>
  <c r="N19" i="2" s="1"/>
  <c r="L16" i="2"/>
  <c r="F16" i="2"/>
  <c r="M11" i="2"/>
  <c r="N11" i="2" s="1"/>
  <c r="J16" i="2"/>
  <c r="N24" i="2" l="1"/>
  <c r="M24" i="2"/>
  <c r="H16" i="2"/>
  <c r="O11" i="2"/>
  <c r="C16" i="3" s="1"/>
  <c r="E16" i="3" s="1"/>
  <c r="F16" i="3" s="1"/>
  <c r="M20" i="2"/>
  <c r="N16" i="2"/>
  <c r="M16" i="2"/>
  <c r="F24" i="2"/>
  <c r="F20" i="2"/>
  <c r="M10" i="2" l="1"/>
  <c r="N10" i="2" s="1"/>
  <c r="M8" i="2"/>
  <c r="N8" i="2" s="1"/>
  <c r="F12" i="2"/>
  <c r="F26" i="2" s="1"/>
  <c r="D28" i="3"/>
  <c r="D30" i="3" s="1"/>
  <c r="D7" i="3"/>
  <c r="A9" i="3"/>
  <c r="A26" i="3"/>
  <c r="B25" i="3"/>
  <c r="B22" i="3"/>
  <c r="B19" i="3"/>
  <c r="B13" i="3"/>
  <c r="B14" i="3"/>
  <c r="B15" i="3"/>
  <c r="B12" i="3"/>
  <c r="B8" i="3"/>
  <c r="B7" i="3"/>
  <c r="A25" i="3"/>
  <c r="A13" i="3"/>
  <c r="A14" i="3"/>
  <c r="A15" i="3"/>
  <c r="A17" i="3"/>
  <c r="A19" i="3"/>
  <c r="A20" i="3"/>
  <c r="A22" i="3"/>
  <c r="A23" i="3"/>
  <c r="A12" i="3"/>
  <c r="A10" i="3"/>
  <c r="A8" i="3"/>
  <c r="A7" i="3"/>
  <c r="B17" i="3"/>
  <c r="M9" i="2" l="1"/>
  <c r="N9" i="2" s="1"/>
  <c r="L12" i="2"/>
  <c r="H12" i="2"/>
  <c r="J12" i="2"/>
  <c r="M7" i="2"/>
  <c r="N7" i="2" s="1"/>
  <c r="D32" i="3"/>
  <c r="D9" i="3"/>
  <c r="M12" i="2" l="1"/>
  <c r="N12" i="2"/>
  <c r="C15" i="1"/>
  <c r="E15" i="1"/>
  <c r="J15" i="1"/>
  <c r="E24" i="2"/>
  <c r="E20" i="2"/>
  <c r="I14" i="1"/>
  <c r="I15" i="1" s="1"/>
  <c r="B15" i="1"/>
  <c r="B9" i="3" s="1"/>
  <c r="K13" i="1"/>
  <c r="K15" i="1" s="1"/>
  <c r="J24" i="2"/>
  <c r="H24" i="2"/>
  <c r="D24" i="2"/>
  <c r="B26" i="3" s="1"/>
  <c r="D20" i="2"/>
  <c r="B23" i="3" s="1"/>
  <c r="G14" i="1"/>
  <c r="G15" i="1" l="1"/>
  <c r="L14" i="1"/>
  <c r="M14" i="1" s="1"/>
  <c r="B20" i="3"/>
  <c r="B28" i="3" s="1"/>
  <c r="D26" i="2"/>
  <c r="B30" i="3" s="1"/>
  <c r="B32" i="3" s="1"/>
  <c r="E26" i="2"/>
  <c r="J20" i="2"/>
  <c r="H20" i="2"/>
  <c r="L20" i="2"/>
  <c r="O8" i="2"/>
  <c r="C13" i="3" s="1"/>
  <c r="E13" i="3" s="1"/>
  <c r="F13" i="3" s="1"/>
  <c r="L13" i="1"/>
  <c r="M13" i="1" s="1"/>
  <c r="O23" i="2"/>
  <c r="L24" i="2"/>
  <c r="C25" i="3" l="1"/>
  <c r="E25" i="3" s="1"/>
  <c r="F25" i="3" s="1"/>
  <c r="O24" i="2"/>
  <c r="C26" i="3" s="1"/>
  <c r="E26" i="3" s="1"/>
  <c r="F26" i="3" s="1"/>
  <c r="H25" i="3" s="1"/>
  <c r="H26" i="2"/>
  <c r="O10" i="2"/>
  <c r="C15" i="3" s="1"/>
  <c r="E15" i="3" s="1"/>
  <c r="F15" i="3" s="1"/>
  <c r="J26" i="2"/>
  <c r="L26" i="2"/>
  <c r="N13" i="1"/>
  <c r="C7" i="3" s="1"/>
  <c r="O7" i="2"/>
  <c r="L15" i="1"/>
  <c r="N20" i="2"/>
  <c r="O9" i="2"/>
  <c r="C14" i="3" s="1"/>
  <c r="E14" i="3" s="1"/>
  <c r="F14" i="3" s="1"/>
  <c r="C12" i="3" l="1"/>
  <c r="E12" i="3" s="1"/>
  <c r="F12" i="3" s="1"/>
  <c r="O12" i="2"/>
  <c r="C17" i="3" s="1"/>
  <c r="E7" i="3"/>
  <c r="M26" i="2"/>
  <c r="O15" i="2"/>
  <c r="O16" i="2" s="1"/>
  <c r="C20" i="3" s="1"/>
  <c r="N14" i="1"/>
  <c r="M15" i="1"/>
  <c r="O19" i="2"/>
  <c r="O20" i="2" s="1"/>
  <c r="E17" i="3" l="1"/>
  <c r="F17" i="3" s="1"/>
  <c r="N15" i="1"/>
  <c r="C19" i="3"/>
  <c r="E19" i="3" s="1"/>
  <c r="E20" i="3" s="1"/>
  <c r="F20" i="3" s="1"/>
  <c r="C23" i="3"/>
  <c r="C22" i="3"/>
  <c r="E22" i="3" s="1"/>
  <c r="F7" i="3"/>
  <c r="N26" i="2"/>
  <c r="E8" i="3" l="1"/>
  <c r="C9" i="3"/>
  <c r="C28" i="3"/>
  <c r="C30" i="3" s="1"/>
  <c r="C32" i="3" s="1"/>
  <c r="F22" i="3"/>
  <c r="E23" i="3"/>
  <c r="F23" i="3" s="1"/>
  <c r="O26" i="2"/>
  <c r="F19" i="3"/>
  <c r="H7" i="3"/>
  <c r="F8" i="3" l="1"/>
  <c r="E9" i="3"/>
  <c r="F9" i="3" s="1"/>
  <c r="E28" i="3"/>
  <c r="E30" i="3" s="1"/>
  <c r="E32" i="3" s="1"/>
  <c r="H10" i="3" l="1"/>
  <c r="F28" i="3"/>
  <c r="F30" i="3" s="1"/>
  <c r="F32" i="3" s="1"/>
</calcChain>
</file>

<file path=xl/sharedStrings.xml><?xml version="1.0" encoding="utf-8"?>
<sst xmlns="http://schemas.openxmlformats.org/spreadsheetml/2006/main" count="111" uniqueCount="67">
  <si>
    <t>Ф.И.О. работника</t>
  </si>
  <si>
    <t xml:space="preserve">Наименование структурных подразделений и должностей </t>
  </si>
  <si>
    <t>Количество штат. ед.</t>
  </si>
  <si>
    <t>Должностной оклад, денежн вознаграждение, руб.</t>
  </si>
  <si>
    <t>Надбавка за особые условия муниципальной службы</t>
  </si>
  <si>
    <t>Надбавка за выслугу лет</t>
  </si>
  <si>
    <t>Надбавка за гос.тайну, руб.</t>
  </si>
  <si>
    <t>Ежемесячное денежное поощрение, руб.</t>
  </si>
  <si>
    <t>Район. коэф., коэфф. за работу в безводн. и высок. местн.,руб.</t>
  </si>
  <si>
    <t>Месячный фонд заработной платы, руб.</t>
  </si>
  <si>
    <t>%</t>
  </si>
  <si>
    <t>руб.</t>
  </si>
  <si>
    <t>Раздел 1 "Муниципальные служащие"</t>
  </si>
  <si>
    <t>Глава сельского поселения</t>
  </si>
  <si>
    <t>Итого, руб.</t>
  </si>
  <si>
    <t>Наименование органа государственной власти (органа местного самоуправления)</t>
  </si>
  <si>
    <t>Ведущий специалист 1 разряда</t>
  </si>
  <si>
    <t>Раздел 2 "Технический и обслуживающий персонал"</t>
  </si>
  <si>
    <t>выслуга лет</t>
  </si>
  <si>
    <t xml:space="preserve">ежемесячное денежное поощрение </t>
  </si>
  <si>
    <t>персональный повышающий коэффициент</t>
  </si>
  <si>
    <t>Район. коэф., коэфф. 40% (руб.)</t>
  </si>
  <si>
    <t>наименование должности</t>
  </si>
  <si>
    <t>количество ставок</t>
  </si>
  <si>
    <t>Должностной оклад</t>
  </si>
  <si>
    <t>сумма</t>
  </si>
  <si>
    <t>Управление</t>
  </si>
  <si>
    <t>Водитель</t>
  </si>
  <si>
    <t>Итого:</t>
  </si>
  <si>
    <t>СДК с. Бийка</t>
  </si>
  <si>
    <t>СДК с. Чуйка</t>
  </si>
  <si>
    <t>Штат в количестве</t>
  </si>
  <si>
    <t>Х</t>
  </si>
  <si>
    <t>Специалист</t>
  </si>
  <si>
    <t>-</t>
  </si>
  <si>
    <t>Экономист</t>
  </si>
  <si>
    <t>Разнорабочий</t>
  </si>
  <si>
    <t>ВУС</t>
  </si>
  <si>
    <t>Сельская администрация Бийкинского сельского поселения Турочакского района Республики Алтай</t>
  </si>
  <si>
    <t>Утверждаю</t>
  </si>
  <si>
    <t>Итого по разделу 1</t>
  </si>
  <si>
    <t>Итого по разделу 2:</t>
  </si>
  <si>
    <t>Специалист  ВУС</t>
  </si>
  <si>
    <t>О.Н. Закапко</t>
  </si>
  <si>
    <t>Доплата к отпуску</t>
  </si>
  <si>
    <t>Месячный фонд заработной платы</t>
  </si>
  <si>
    <t xml:space="preserve">Годовой ФОТ </t>
  </si>
  <si>
    <t>0102</t>
  </si>
  <si>
    <t>0104</t>
  </si>
  <si>
    <t>ИТОГО</t>
  </si>
  <si>
    <t>0203</t>
  </si>
  <si>
    <t>Итого по разделу 2 (0104 и 0203)</t>
  </si>
  <si>
    <t>Итого по 0104</t>
  </si>
  <si>
    <t>Годовой ФОТ с начислением</t>
  </si>
  <si>
    <t>Расчетный годовой ФОТ на 2023 год</t>
  </si>
  <si>
    <t>Должностной оклад с учетом занимаемой ставки</t>
  </si>
  <si>
    <t>ФИО сотрудника</t>
  </si>
  <si>
    <t>Черганакова А.А.</t>
  </si>
  <si>
    <t>Иртаева Е.П.</t>
  </si>
  <si>
    <t>вакансия</t>
  </si>
  <si>
    <t>Денисова М.Г.</t>
  </si>
  <si>
    <t>Ананьев В.А.</t>
  </si>
  <si>
    <t>Сычева Н.Ю.</t>
  </si>
  <si>
    <t>Оклад за классный чин</t>
  </si>
  <si>
    <t>2 ед.</t>
  </si>
  <si>
    <t>Черганаков Л.А.</t>
  </si>
  <si>
    <t>СДК с. Чуйка (законсервировано)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</si>
</sst>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\-#,##0\ "/>
    <numFmt numFmtId="165" formatCode="_-* #,##0.00_р_._-;\-* #,##0.00_р_._-;_-* &quot;-&quot;_р_._-;_-@_-"/>
    <numFmt numFmtId="166" formatCode="#,##0.0"/>
    <numFmt numFmtId="167" formatCode="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135">
    <xf numFmtId="0" fontId="0" fillId="0" borderId="0" xfId="0"/>
    <xf numFmtId="0" fontId="2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0" fontId="6" fillId="0" borderId="0" xfId="0" applyFont="1"/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165" fontId="13" fillId="2" borderId="1" xfId="0" applyNumberFormat="1" applyFont="1" applyFill="1" applyBorder="1" applyAlignment="1">
      <alignment horizontal="right" wrapText="1"/>
    </xf>
    <xf numFmtId="165" fontId="14" fillId="2" borderId="1" xfId="0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0" fillId="0" borderId="1" xfId="0" applyBorder="1"/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6" fillId="0" borderId="1" xfId="0" applyFont="1" applyBorder="1"/>
    <xf numFmtId="2" fontId="15" fillId="0" borderId="1" xfId="0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17" fillId="0" borderId="0" xfId="0" applyFont="1"/>
    <xf numFmtId="0" fontId="18" fillId="0" borderId="0" xfId="0" applyFont="1"/>
    <xf numFmtId="2" fontId="11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165" fontId="0" fillId="0" borderId="0" xfId="0" applyNumberFormat="1"/>
    <xf numFmtId="0" fontId="10" fillId="0" borderId="1" xfId="0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wrapText="1"/>
    </xf>
    <xf numFmtId="165" fontId="10" fillId="0" borderId="1" xfId="1" applyNumberFormat="1" applyFont="1" applyBorder="1" applyAlignment="1">
      <alignment wrapText="1"/>
    </xf>
    <xf numFmtId="165" fontId="14" fillId="2" borderId="1" xfId="1" applyNumberFormat="1" applyFont="1" applyFill="1" applyBorder="1" applyAlignment="1">
      <alignment wrapText="1"/>
    </xf>
    <xf numFmtId="165" fontId="10" fillId="2" borderId="1" xfId="1" applyNumberFormat="1" applyFont="1" applyFill="1" applyBorder="1" applyAlignment="1">
      <alignment wrapText="1"/>
    </xf>
    <xf numFmtId="0" fontId="11" fillId="2" borderId="1" xfId="1" applyFont="1" applyFill="1" applyBorder="1" applyAlignment="1">
      <alignment wrapText="1"/>
    </xf>
    <xf numFmtId="164" fontId="11" fillId="2" borderId="1" xfId="1" applyNumberFormat="1" applyFont="1" applyFill="1" applyBorder="1" applyAlignment="1">
      <alignment horizontal="center" wrapText="1"/>
    </xf>
    <xf numFmtId="165" fontId="11" fillId="2" borderId="1" xfId="1" applyNumberFormat="1" applyFont="1" applyFill="1" applyBorder="1" applyAlignment="1">
      <alignment horizontal="center" wrapText="1"/>
    </xf>
    <xf numFmtId="165" fontId="10" fillId="0" borderId="1" xfId="1" applyNumberFormat="1" applyFont="1" applyBorder="1" applyAlignment="1"/>
    <xf numFmtId="165" fontId="10" fillId="2" borderId="1" xfId="1" applyNumberFormat="1" applyFont="1" applyFill="1" applyBorder="1" applyAlignment="1"/>
    <xf numFmtId="165" fontId="14" fillId="2" borderId="1" xfId="1" applyNumberFormat="1" applyFont="1" applyFill="1" applyBorder="1" applyAlignment="1"/>
    <xf numFmtId="165" fontId="11" fillId="2" borderId="1" xfId="1" applyNumberFormat="1" applyFont="1" applyFill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justify"/>
    </xf>
    <xf numFmtId="0" fontId="11" fillId="0" borderId="1" xfId="0" applyFont="1" applyFill="1" applyBorder="1" applyAlignment="1">
      <alignment horizontal="justify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 wrapText="1"/>
    </xf>
    <xf numFmtId="2" fontId="11" fillId="0" borderId="1" xfId="0" applyNumberFormat="1" applyFont="1" applyBorder="1"/>
    <xf numFmtId="165" fontId="13" fillId="2" borderId="1" xfId="1" applyNumberFormat="1" applyFont="1" applyFill="1" applyBorder="1" applyAlignment="1">
      <alignment wrapText="1"/>
    </xf>
    <xf numFmtId="0" fontId="3" fillId="0" borderId="1" xfId="1" applyFont="1" applyBorder="1" applyAlignment="1">
      <alignment horizontal="center" vertical="top" wrapText="1"/>
    </xf>
    <xf numFmtId="2" fontId="0" fillId="0" borderId="0" xfId="0" applyNumberFormat="1"/>
    <xf numFmtId="0" fontId="4" fillId="0" borderId="1" xfId="1" applyFont="1" applyBorder="1" applyAlignment="1">
      <alignment horizontal="center" wrapText="1"/>
    </xf>
    <xf numFmtId="0" fontId="10" fillId="0" borderId="1" xfId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4" fontId="19" fillId="0" borderId="1" xfId="0" applyNumberFormat="1" applyFont="1" applyBorder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20" fillId="0" borderId="1" xfId="0" applyFont="1" applyBorder="1"/>
    <xf numFmtId="0" fontId="20" fillId="0" borderId="1" xfId="0" applyFont="1" applyBorder="1" applyAlignment="1">
      <alignment vertical="center"/>
    </xf>
    <xf numFmtId="4" fontId="20" fillId="0" borderId="1" xfId="0" applyNumberFormat="1" applyFont="1" applyBorder="1"/>
    <xf numFmtId="4" fontId="0" fillId="0" borderId="0" xfId="0" applyNumberFormat="1"/>
    <xf numFmtId="0" fontId="22" fillId="0" borderId="1" xfId="0" applyFont="1" applyBorder="1"/>
    <xf numFmtId="0" fontId="3" fillId="0" borderId="0" xfId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4" fontId="22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/>
    </xf>
    <xf numFmtId="0" fontId="3" fillId="0" borderId="3" xfId="1" applyFont="1" applyBorder="1" applyAlignment="1">
      <alignment horizontal="center" vertical="top" wrapText="1"/>
    </xf>
    <xf numFmtId="9" fontId="10" fillId="0" borderId="1" xfId="2" applyFont="1" applyBorder="1" applyAlignment="1">
      <alignment horizontal="center" vertical="center" wrapText="1"/>
    </xf>
    <xf numFmtId="9" fontId="10" fillId="0" borderId="1" xfId="2" applyFont="1" applyBorder="1" applyAlignment="1">
      <alignment horizontal="center" wrapText="1"/>
    </xf>
    <xf numFmtId="9" fontId="10" fillId="0" borderId="1" xfId="2" applyFont="1" applyBorder="1" applyAlignment="1">
      <alignment horizontal="center"/>
    </xf>
    <xf numFmtId="166" fontId="10" fillId="0" borderId="1" xfId="0" applyNumberFormat="1" applyFont="1" applyBorder="1" applyAlignment="1">
      <alignment horizontal="center" wrapText="1"/>
    </xf>
    <xf numFmtId="166" fontId="11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/>
    </xf>
    <xf numFmtId="4" fontId="13" fillId="2" borderId="1" xfId="0" applyNumberFormat="1" applyFont="1" applyFill="1" applyBorder="1" applyAlignment="1">
      <alignment horizontal="center" wrapText="1"/>
    </xf>
    <xf numFmtId="167" fontId="15" fillId="0" borderId="1" xfId="0" applyNumberFormat="1" applyFont="1" applyBorder="1" applyAlignment="1">
      <alignment horizontal="center"/>
    </xf>
    <xf numFmtId="9" fontId="15" fillId="0" borderId="1" xfId="2" applyFont="1" applyBorder="1" applyAlignment="1">
      <alignment horizontal="center"/>
    </xf>
    <xf numFmtId="166" fontId="15" fillId="0" borderId="1" xfId="0" applyNumberFormat="1" applyFont="1" applyBorder="1" applyAlignment="1">
      <alignment horizontal="center"/>
    </xf>
    <xf numFmtId="166" fontId="16" fillId="0" borderId="1" xfId="0" applyNumberFormat="1" applyFont="1" applyBorder="1" applyAlignment="1">
      <alignment horizontal="center"/>
    </xf>
    <xf numFmtId="166" fontId="20" fillId="0" borderId="1" xfId="0" applyNumberFormat="1" applyFont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2" fontId="19" fillId="0" borderId="0" xfId="0" applyNumberFormat="1" applyFont="1"/>
    <xf numFmtId="167" fontId="16" fillId="0" borderId="1" xfId="0" applyNumberFormat="1" applyFont="1" applyBorder="1" applyAlignment="1">
      <alignment horizontal="center"/>
    </xf>
    <xf numFmtId="10" fontId="10" fillId="0" borderId="1" xfId="1" applyNumberFormat="1" applyFont="1" applyBorder="1" applyAlignment="1">
      <alignment wrapText="1"/>
    </xf>
    <xf numFmtId="10" fontId="10" fillId="0" borderId="1" xfId="2" applyNumberFormat="1" applyFont="1" applyBorder="1" applyAlignment="1">
      <alignment horizontal="center" vertical="center" wrapText="1"/>
    </xf>
    <xf numFmtId="10" fontId="10" fillId="0" borderId="1" xfId="2" applyNumberFormat="1" applyFont="1" applyBorder="1" applyAlignment="1">
      <alignment horizontal="center" wrapText="1"/>
    </xf>
    <xf numFmtId="3" fontId="0" fillId="0" borderId="0" xfId="0" applyNumberFormat="1"/>
    <xf numFmtId="9" fontId="10" fillId="0" borderId="1" xfId="2" applyNumberFormat="1" applyFont="1" applyBorder="1" applyAlignment="1">
      <alignment horizontal="center" wrapText="1"/>
    </xf>
    <xf numFmtId="10" fontId="15" fillId="0" borderId="1" xfId="2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4" fontId="16" fillId="0" borderId="1" xfId="0" applyNumberFormat="1" applyFont="1" applyBorder="1" applyAlignment="1">
      <alignment horizontal="center"/>
    </xf>
    <xf numFmtId="4" fontId="0" fillId="0" borderId="1" xfId="0" applyNumberFormat="1" applyBorder="1"/>
    <xf numFmtId="2" fontId="0" fillId="0" borderId="1" xfId="0" applyNumberFormat="1" applyBorder="1"/>
    <xf numFmtId="0" fontId="3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19" fillId="0" borderId="4" xfId="0" applyFont="1" applyBorder="1" applyAlignment="1">
      <alignment horizontal="center" wrapText="1"/>
    </xf>
    <xf numFmtId="0" fontId="19" fillId="0" borderId="5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workbookViewId="0">
      <selection activeCell="N14" sqref="N14"/>
    </sheetView>
  </sheetViews>
  <sheetFormatPr defaultRowHeight="15" x14ac:dyDescent="0.25"/>
  <cols>
    <col min="1" max="1" width="26" customWidth="1"/>
    <col min="2" max="2" width="11.7109375" customWidth="1"/>
    <col min="3" max="3" width="15.85546875" customWidth="1"/>
    <col min="4" max="4" width="13.140625" customWidth="1"/>
    <col min="5" max="5" width="9.85546875" customWidth="1"/>
    <col min="6" max="6" width="11.5703125" customWidth="1"/>
    <col min="7" max="7" width="9.5703125" customWidth="1"/>
    <col min="8" max="8" width="10.42578125" customWidth="1"/>
    <col min="9" max="9" width="8" customWidth="1"/>
    <col min="10" max="10" width="13.140625" customWidth="1"/>
    <col min="11" max="11" width="12.140625" customWidth="1"/>
    <col min="12" max="12" width="13.42578125" customWidth="1"/>
    <col min="13" max="13" width="10.42578125" customWidth="1"/>
    <col min="14" max="14" width="11.85546875" customWidth="1"/>
    <col min="15" max="15" width="12.42578125" customWidth="1"/>
    <col min="16" max="16" width="11.140625" bestFit="1" customWidth="1"/>
  </cols>
  <sheetData>
    <row r="1" spans="1:15" x14ac:dyDescent="0.25">
      <c r="A1" s="24" t="s">
        <v>38</v>
      </c>
      <c r="B1" s="24"/>
      <c r="C1" s="24"/>
      <c r="D1" s="24"/>
    </row>
    <row r="2" spans="1:15" x14ac:dyDescent="0.25">
      <c r="A2" s="4" t="s">
        <v>15</v>
      </c>
      <c r="H2" s="23"/>
      <c r="I2" s="23"/>
      <c r="J2" s="23"/>
      <c r="K2" s="23"/>
    </row>
    <row r="3" spans="1:15" x14ac:dyDescent="0.25">
      <c r="A3" s="4"/>
      <c r="H3" s="23" t="s">
        <v>39</v>
      </c>
      <c r="I3" s="23"/>
      <c r="J3" s="23"/>
      <c r="K3" s="23"/>
    </row>
    <row r="4" spans="1:15" x14ac:dyDescent="0.25">
      <c r="H4" s="23" t="s">
        <v>13</v>
      </c>
      <c r="I4" s="23"/>
      <c r="J4" s="23"/>
      <c r="K4" s="23"/>
      <c r="M4" s="23" t="s">
        <v>43</v>
      </c>
      <c r="N4" s="23"/>
      <c r="O4" s="23"/>
    </row>
    <row r="6" spans="1:15" x14ac:dyDescent="0.25">
      <c r="H6" s="23" t="s">
        <v>31</v>
      </c>
      <c r="I6" s="23"/>
      <c r="J6" t="s">
        <v>64</v>
      </c>
    </row>
    <row r="7" spans="1:15" ht="13.5" customHeight="1" x14ac:dyDescent="0.25"/>
    <row r="8" spans="1:15" hidden="1" x14ac:dyDescent="0.25"/>
    <row r="9" spans="1:15" ht="70.5" customHeight="1" x14ac:dyDescent="0.25">
      <c r="A9" s="112" t="s">
        <v>1</v>
      </c>
      <c r="B9" s="109" t="s">
        <v>2</v>
      </c>
      <c r="C9" s="109" t="s">
        <v>3</v>
      </c>
      <c r="D9" s="109" t="s">
        <v>4</v>
      </c>
      <c r="E9" s="109"/>
      <c r="F9" s="109" t="s">
        <v>5</v>
      </c>
      <c r="G9" s="109"/>
      <c r="H9" s="109" t="s">
        <v>6</v>
      </c>
      <c r="I9" s="109"/>
      <c r="J9" s="78" t="s">
        <v>63</v>
      </c>
      <c r="K9" s="109" t="s">
        <v>7</v>
      </c>
      <c r="L9" s="109" t="s">
        <v>14</v>
      </c>
      <c r="M9" s="109" t="s">
        <v>8</v>
      </c>
      <c r="N9" s="109" t="s">
        <v>9</v>
      </c>
    </row>
    <row r="10" spans="1:15" ht="64.5" customHeight="1" x14ac:dyDescent="0.25">
      <c r="A10" s="112"/>
      <c r="B10" s="109"/>
      <c r="C10" s="109"/>
      <c r="D10" s="22" t="s">
        <v>10</v>
      </c>
      <c r="E10" s="22" t="s">
        <v>11</v>
      </c>
      <c r="F10" s="22" t="s">
        <v>10</v>
      </c>
      <c r="G10" s="22" t="s">
        <v>11</v>
      </c>
      <c r="H10" s="22" t="s">
        <v>10</v>
      </c>
      <c r="I10" s="22" t="s">
        <v>11</v>
      </c>
      <c r="J10" s="52" t="s">
        <v>11</v>
      </c>
      <c r="K10" s="109"/>
      <c r="L10" s="109"/>
      <c r="M10" s="109"/>
      <c r="N10" s="109"/>
    </row>
    <row r="11" spans="1:15" x14ac:dyDescent="0.25">
      <c r="A11" s="1">
        <v>1</v>
      </c>
      <c r="B11" s="1">
        <v>2</v>
      </c>
      <c r="C11" s="1">
        <v>4</v>
      </c>
      <c r="D11" s="1">
        <v>7</v>
      </c>
      <c r="E11" s="1">
        <v>8</v>
      </c>
      <c r="F11" s="1">
        <v>10</v>
      </c>
      <c r="G11" s="1">
        <v>11</v>
      </c>
      <c r="H11" s="1">
        <v>12</v>
      </c>
      <c r="I11" s="1">
        <v>13</v>
      </c>
      <c r="J11" s="1"/>
      <c r="K11" s="1">
        <v>14</v>
      </c>
      <c r="L11" s="1">
        <v>15</v>
      </c>
      <c r="M11" s="1">
        <v>16</v>
      </c>
      <c r="N11" s="1">
        <v>17</v>
      </c>
    </row>
    <row r="12" spans="1:15" x14ac:dyDescent="0.25">
      <c r="A12" s="110" t="s">
        <v>12</v>
      </c>
      <c r="B12" s="111"/>
      <c r="C12" s="111"/>
      <c r="D12" s="111"/>
      <c r="E12" s="1"/>
      <c r="F12" s="1"/>
      <c r="G12" s="1"/>
      <c r="H12" s="2"/>
      <c r="I12" s="2"/>
      <c r="J12" s="3"/>
      <c r="K12" s="3"/>
      <c r="L12" s="3"/>
      <c r="M12" s="1"/>
      <c r="N12" s="1"/>
    </row>
    <row r="13" spans="1:15" ht="32.25" customHeight="1" x14ac:dyDescent="0.25">
      <c r="A13" s="55" t="s">
        <v>13</v>
      </c>
      <c r="B13" s="30">
        <v>1</v>
      </c>
      <c r="C13" s="31">
        <v>11546</v>
      </c>
      <c r="D13" s="31">
        <v>0</v>
      </c>
      <c r="E13" s="32">
        <v>0</v>
      </c>
      <c r="F13" s="31">
        <v>0</v>
      </c>
      <c r="G13" s="33">
        <v>0</v>
      </c>
      <c r="H13" s="33"/>
      <c r="I13" s="37">
        <v>0</v>
      </c>
      <c r="J13" s="37" t="s">
        <v>34</v>
      </c>
      <c r="K13" s="38">
        <f>C13*1.5</f>
        <v>17319</v>
      </c>
      <c r="L13" s="32">
        <f>C13+K13</f>
        <v>28865</v>
      </c>
      <c r="M13" s="32">
        <f>L13*40/100</f>
        <v>11546</v>
      </c>
      <c r="N13" s="39">
        <f>L13+M13</f>
        <v>40411</v>
      </c>
    </row>
    <row r="14" spans="1:15" ht="25.5" x14ac:dyDescent="0.25">
      <c r="A14" s="55" t="s">
        <v>16</v>
      </c>
      <c r="B14" s="30">
        <v>1</v>
      </c>
      <c r="C14" s="31">
        <v>4340</v>
      </c>
      <c r="D14" s="99">
        <v>1.1667000000000001</v>
      </c>
      <c r="E14" s="32">
        <f>D14*C14</f>
        <v>5063.4780000000001</v>
      </c>
      <c r="F14" s="31">
        <v>20</v>
      </c>
      <c r="G14" s="33">
        <f>C14*20%</f>
        <v>868</v>
      </c>
      <c r="H14" s="33">
        <v>0</v>
      </c>
      <c r="I14" s="37">
        <f>C14*H14/100</f>
        <v>0</v>
      </c>
      <c r="J14" s="37" t="s">
        <v>34</v>
      </c>
      <c r="K14" s="38">
        <f>C14*150%</f>
        <v>6510</v>
      </c>
      <c r="L14" s="32">
        <f>C14+E14+G14+K14</f>
        <v>16781.477999999999</v>
      </c>
      <c r="M14" s="32">
        <f>L14*40/100</f>
        <v>6712.5911999999998</v>
      </c>
      <c r="N14" s="39">
        <f>M14+L14</f>
        <v>23494.069199999998</v>
      </c>
      <c r="O14" s="28"/>
    </row>
    <row r="15" spans="1:15" x14ac:dyDescent="0.25">
      <c r="A15" s="34" t="s">
        <v>40</v>
      </c>
      <c r="B15" s="35">
        <f>SUM(B13:B14)</f>
        <v>2</v>
      </c>
      <c r="C15" s="40">
        <f>SUM(C13:C14)</f>
        <v>15886</v>
      </c>
      <c r="D15" s="36" t="s">
        <v>32</v>
      </c>
      <c r="E15" s="40">
        <f>SUM(E13:E14)</f>
        <v>5063.4780000000001</v>
      </c>
      <c r="F15" s="36" t="s">
        <v>32</v>
      </c>
      <c r="G15" s="40">
        <f>SUM(G13:G14)</f>
        <v>868</v>
      </c>
      <c r="H15" s="36" t="s">
        <v>32</v>
      </c>
      <c r="I15" s="40">
        <f>SUM(I13:I14)</f>
        <v>0</v>
      </c>
      <c r="J15" s="40">
        <f>SUM(J14)</f>
        <v>0</v>
      </c>
      <c r="K15" s="40">
        <f>SUM(K13:K14)</f>
        <v>23829</v>
      </c>
      <c r="L15" s="51">
        <f>SUM(L13:L14)</f>
        <v>45646.478000000003</v>
      </c>
      <c r="M15" s="40">
        <f>SUM(M13:M14)</f>
        <v>18258.591199999999</v>
      </c>
      <c r="N15" s="40">
        <f>SUM(N13:N14)</f>
        <v>63905.069199999998</v>
      </c>
      <c r="O15" s="28"/>
    </row>
    <row r="16" spans="1:15" x14ac:dyDescent="0.25">
      <c r="D16" s="28"/>
    </row>
  </sheetData>
  <mergeCells count="11">
    <mergeCell ref="N9:N10"/>
    <mergeCell ref="H9:I9"/>
    <mergeCell ref="K9:K10"/>
    <mergeCell ref="F9:G9"/>
    <mergeCell ref="A12:D12"/>
    <mergeCell ref="C9:C10"/>
    <mergeCell ref="M9:M10"/>
    <mergeCell ref="D9:E9"/>
    <mergeCell ref="B9:B10"/>
    <mergeCell ref="L9:L10"/>
    <mergeCell ref="A9:A10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6"/>
  <sheetViews>
    <sheetView tabSelected="1" workbookViewId="0">
      <selection activeCell="K16" sqref="K16"/>
    </sheetView>
  </sheetViews>
  <sheetFormatPr defaultRowHeight="15" x14ac:dyDescent="0.25"/>
  <cols>
    <col min="1" max="1" width="16.140625" customWidth="1"/>
    <col min="2" max="3" width="15" customWidth="1"/>
    <col min="6" max="6" width="9.5703125" bestFit="1" customWidth="1"/>
    <col min="10" max="10" width="10.28515625" customWidth="1"/>
    <col min="12" max="12" width="11.42578125" customWidth="1"/>
    <col min="13" max="13" width="15.140625" customWidth="1"/>
    <col min="14" max="14" width="11.140625" customWidth="1"/>
    <col min="15" max="15" width="12.5703125" customWidth="1"/>
    <col min="16" max="16" width="11" customWidth="1"/>
  </cols>
  <sheetData>
    <row r="2" spans="1:16" ht="28.5" customHeight="1" x14ac:dyDescent="0.25">
      <c r="A2" s="119" t="s">
        <v>17</v>
      </c>
      <c r="B2" s="120"/>
      <c r="C2" s="120"/>
      <c r="D2" s="120"/>
      <c r="E2" s="120"/>
      <c r="F2" s="121"/>
      <c r="G2" s="124" t="s">
        <v>18</v>
      </c>
      <c r="H2" s="125"/>
      <c r="I2" s="124" t="s">
        <v>19</v>
      </c>
      <c r="J2" s="125"/>
      <c r="K2" s="124" t="s">
        <v>20</v>
      </c>
      <c r="L2" s="125"/>
      <c r="M2" s="122" t="s">
        <v>14</v>
      </c>
      <c r="N2" s="122" t="s">
        <v>21</v>
      </c>
      <c r="O2" s="122" t="s">
        <v>9</v>
      </c>
    </row>
    <row r="3" spans="1:16" ht="81.75" customHeight="1" x14ac:dyDescent="0.25">
      <c r="A3" s="41" t="s">
        <v>0</v>
      </c>
      <c r="B3" s="42" t="s">
        <v>22</v>
      </c>
      <c r="C3" s="42" t="s">
        <v>56</v>
      </c>
      <c r="D3" s="43" t="s">
        <v>23</v>
      </c>
      <c r="E3" s="5" t="s">
        <v>24</v>
      </c>
      <c r="F3" s="76" t="s">
        <v>55</v>
      </c>
      <c r="G3" s="126"/>
      <c r="H3" s="127"/>
      <c r="I3" s="126"/>
      <c r="J3" s="127"/>
      <c r="K3" s="126"/>
      <c r="L3" s="127"/>
      <c r="M3" s="123"/>
      <c r="N3" s="123"/>
      <c r="O3" s="123"/>
    </row>
    <row r="4" spans="1:16" ht="24" customHeight="1" x14ac:dyDescent="0.25">
      <c r="A4" s="41"/>
      <c r="B4" s="44"/>
      <c r="C4" s="44"/>
      <c r="D4" s="45"/>
      <c r="E4" s="5"/>
      <c r="F4" s="76"/>
      <c r="G4" s="5" t="s">
        <v>10</v>
      </c>
      <c r="H4" s="5" t="s">
        <v>25</v>
      </c>
      <c r="I4" s="5" t="s">
        <v>10</v>
      </c>
      <c r="J4" s="5" t="s">
        <v>25</v>
      </c>
      <c r="K4" s="5" t="s">
        <v>10</v>
      </c>
      <c r="L4" s="5" t="s">
        <v>25</v>
      </c>
      <c r="M4" s="5"/>
      <c r="N4" s="5"/>
      <c r="O4" s="5"/>
    </row>
    <row r="5" spans="1:16" x14ac:dyDescent="0.25">
      <c r="A5" s="7">
        <v>1</v>
      </c>
      <c r="B5" s="8">
        <v>2</v>
      </c>
      <c r="C5" s="8"/>
      <c r="D5" s="9">
        <v>3</v>
      </c>
      <c r="E5" s="6">
        <v>4</v>
      </c>
      <c r="F5" s="6">
        <v>4</v>
      </c>
      <c r="G5" s="8">
        <v>10</v>
      </c>
      <c r="H5" s="9">
        <v>11</v>
      </c>
      <c r="I5" s="6">
        <v>12</v>
      </c>
      <c r="J5" s="6">
        <v>13</v>
      </c>
      <c r="K5" s="6">
        <v>14</v>
      </c>
      <c r="L5" s="7">
        <v>15</v>
      </c>
      <c r="M5" s="7"/>
      <c r="N5" s="8">
        <v>16</v>
      </c>
      <c r="O5" s="7">
        <v>17</v>
      </c>
    </row>
    <row r="6" spans="1:16" ht="15" customHeight="1" x14ac:dyDescent="0.25">
      <c r="A6" s="114" t="s">
        <v>26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6" ht="15" customHeight="1" x14ac:dyDescent="0.25">
      <c r="A7" s="29"/>
      <c r="B7" s="29" t="s">
        <v>33</v>
      </c>
      <c r="C7" s="29" t="s">
        <v>57</v>
      </c>
      <c r="D7" s="7">
        <v>0.5</v>
      </c>
      <c r="E7" s="84">
        <v>5950</v>
      </c>
      <c r="F7" s="84">
        <f>ROUND(D7*E7,2)</f>
        <v>2975</v>
      </c>
      <c r="G7" s="79">
        <v>0.2</v>
      </c>
      <c r="H7" s="84">
        <f>ROUND(F7*G7,2)</f>
        <v>595</v>
      </c>
      <c r="I7" s="79">
        <v>1.6</v>
      </c>
      <c r="J7" s="84">
        <f>ROUND(F7*I7,2)</f>
        <v>4760</v>
      </c>
      <c r="K7" s="100">
        <v>0.434</v>
      </c>
      <c r="L7" s="84">
        <f>ROUND(F7*K7,2)</f>
        <v>1291.1500000000001</v>
      </c>
      <c r="M7" s="84">
        <f>F7+H7+J7+L7</f>
        <v>9621.15</v>
      </c>
      <c r="N7" s="84">
        <f>ROUND(M7*0.4,2)</f>
        <v>3848.46</v>
      </c>
      <c r="O7" s="84">
        <f>N7+M7</f>
        <v>13469.61</v>
      </c>
      <c r="P7" s="102"/>
    </row>
    <row r="8" spans="1:16" ht="15" customHeight="1" x14ac:dyDescent="0.25">
      <c r="A8" s="29"/>
      <c r="B8" s="29" t="s">
        <v>35</v>
      </c>
      <c r="C8" s="29" t="s">
        <v>58</v>
      </c>
      <c r="D8" s="7">
        <v>0.5</v>
      </c>
      <c r="E8" s="84">
        <v>5950</v>
      </c>
      <c r="F8" s="84">
        <f t="shared" ref="F8:F11" si="0">ROUND(D8*E8,2)</f>
        <v>2975</v>
      </c>
      <c r="G8" s="79">
        <v>0</v>
      </c>
      <c r="H8" s="84">
        <f t="shared" ref="H8:H11" si="1">ROUND(F8*G8,2)</f>
        <v>0</v>
      </c>
      <c r="I8" s="79">
        <v>1.6</v>
      </c>
      <c r="J8" s="84">
        <f t="shared" ref="J8:J11" si="2">ROUND(F8*I8,2)</f>
        <v>4760</v>
      </c>
      <c r="K8" s="100">
        <v>0.63400000000000001</v>
      </c>
      <c r="L8" s="84">
        <f t="shared" ref="L8:L11" si="3">ROUND(F8*K8,2)</f>
        <v>1886.15</v>
      </c>
      <c r="M8" s="84">
        <f t="shared" ref="M8:M11" si="4">F8+H8+J8+L8</f>
        <v>9621.15</v>
      </c>
      <c r="N8" s="84">
        <f t="shared" ref="N8:N11" si="5">ROUND(M8*0.4,2)</f>
        <v>3848.46</v>
      </c>
      <c r="O8" s="84">
        <f>N8+M8</f>
        <v>13469.61</v>
      </c>
      <c r="P8" s="102"/>
    </row>
    <row r="9" spans="1:16" x14ac:dyDescent="0.25">
      <c r="A9" s="10"/>
      <c r="B9" s="46" t="s">
        <v>27</v>
      </c>
      <c r="C9" s="46" t="s">
        <v>65</v>
      </c>
      <c r="D9" s="9">
        <v>0.6</v>
      </c>
      <c r="E9" s="85">
        <v>5461</v>
      </c>
      <c r="F9" s="84">
        <f t="shared" si="0"/>
        <v>3276.6</v>
      </c>
      <c r="G9" s="80">
        <v>0.1</v>
      </c>
      <c r="H9" s="84">
        <f t="shared" si="1"/>
        <v>327.66000000000003</v>
      </c>
      <c r="I9" s="79">
        <v>1.6</v>
      </c>
      <c r="J9" s="84">
        <f t="shared" si="2"/>
        <v>5242.5600000000004</v>
      </c>
      <c r="K9" s="101">
        <v>0.8236</v>
      </c>
      <c r="L9" s="84">
        <f t="shared" si="3"/>
        <v>2698.61</v>
      </c>
      <c r="M9" s="84">
        <f t="shared" si="4"/>
        <v>11545.43</v>
      </c>
      <c r="N9" s="84">
        <f t="shared" si="5"/>
        <v>4618.17</v>
      </c>
      <c r="O9" s="86">
        <f>M9+N9</f>
        <v>16163.6</v>
      </c>
      <c r="P9" s="102"/>
    </row>
    <row r="10" spans="1:16" ht="16.5" customHeight="1" x14ac:dyDescent="0.25">
      <c r="A10" s="11"/>
      <c r="B10" s="46" t="s">
        <v>36</v>
      </c>
      <c r="C10" s="46" t="s">
        <v>60</v>
      </c>
      <c r="D10" s="12">
        <v>0.3</v>
      </c>
      <c r="E10" s="87">
        <v>5396</v>
      </c>
      <c r="F10" s="84">
        <f t="shared" si="0"/>
        <v>1618.8</v>
      </c>
      <c r="G10" s="80">
        <v>0.3</v>
      </c>
      <c r="H10" s="84">
        <f t="shared" si="1"/>
        <v>485.64</v>
      </c>
      <c r="I10" s="81">
        <v>1.6</v>
      </c>
      <c r="J10" s="84">
        <f t="shared" si="2"/>
        <v>2590.08</v>
      </c>
      <c r="K10" s="101">
        <v>0.66600000000000004</v>
      </c>
      <c r="L10" s="84">
        <f t="shared" si="3"/>
        <v>1078.1199999999999</v>
      </c>
      <c r="M10" s="84">
        <f t="shared" si="4"/>
        <v>5772.64</v>
      </c>
      <c r="N10" s="84">
        <f t="shared" si="5"/>
        <v>2309.06</v>
      </c>
      <c r="O10" s="86">
        <f t="shared" ref="O10" si="6">M10+N10</f>
        <v>8081.7000000000007</v>
      </c>
      <c r="P10" s="102"/>
    </row>
    <row r="11" spans="1:16" ht="16.5" customHeight="1" x14ac:dyDescent="0.25">
      <c r="A11" s="11"/>
      <c r="B11" s="46" t="s">
        <v>36</v>
      </c>
      <c r="C11" s="46" t="s">
        <v>61</v>
      </c>
      <c r="D11" s="12">
        <v>0.4</v>
      </c>
      <c r="E11" s="87">
        <v>5396</v>
      </c>
      <c r="F11" s="84">
        <f t="shared" si="0"/>
        <v>2158.4</v>
      </c>
      <c r="G11" s="80">
        <v>0.1</v>
      </c>
      <c r="H11" s="84">
        <f t="shared" si="1"/>
        <v>215.84</v>
      </c>
      <c r="I11" s="81">
        <v>1.6</v>
      </c>
      <c r="J11" s="84">
        <f t="shared" si="2"/>
        <v>3453.44</v>
      </c>
      <c r="K11" s="101">
        <v>0.86599999999999999</v>
      </c>
      <c r="L11" s="84">
        <f t="shared" si="3"/>
        <v>1869.17</v>
      </c>
      <c r="M11" s="84">
        <f t="shared" si="4"/>
        <v>7696.85</v>
      </c>
      <c r="N11" s="84">
        <f t="shared" si="5"/>
        <v>3078.74</v>
      </c>
      <c r="O11" s="86">
        <f t="shared" ref="O11" si="7">M11+N11</f>
        <v>10775.59</v>
      </c>
      <c r="P11" s="102"/>
    </row>
    <row r="12" spans="1:16" x14ac:dyDescent="0.25">
      <c r="A12" s="11"/>
      <c r="B12" s="47" t="s">
        <v>28</v>
      </c>
      <c r="C12" s="47"/>
      <c r="D12" s="48">
        <f>SUM(D7:D11)</f>
        <v>2.3000000000000003</v>
      </c>
      <c r="E12" s="88">
        <f>SUM(E7:E11)</f>
        <v>28153</v>
      </c>
      <c r="F12" s="88">
        <f>SUM(F7:F11)</f>
        <v>13003.8</v>
      </c>
      <c r="G12" s="88" t="s">
        <v>32</v>
      </c>
      <c r="H12" s="89">
        <f>SUM(H7:H11)</f>
        <v>1624.14</v>
      </c>
      <c r="I12" s="89" t="s">
        <v>32</v>
      </c>
      <c r="J12" s="89">
        <f>SUM(J7:J11)</f>
        <v>20806.079999999998</v>
      </c>
      <c r="K12" s="88" t="s">
        <v>32</v>
      </c>
      <c r="L12" s="90">
        <f>SUM(L7:L11)</f>
        <v>8823.2000000000007</v>
      </c>
      <c r="M12" s="90">
        <f>SUM(M7:M11)</f>
        <v>44257.22</v>
      </c>
      <c r="N12" s="89">
        <f>SUM(N7:N11)</f>
        <v>17702.89</v>
      </c>
      <c r="O12" s="90">
        <f>SUM(O7:O11)</f>
        <v>61960.11</v>
      </c>
      <c r="P12" s="53"/>
    </row>
    <row r="13" spans="1:16" x14ac:dyDescent="0.25">
      <c r="A13" s="11"/>
      <c r="B13" s="46"/>
      <c r="C13" s="46"/>
      <c r="D13" s="48"/>
      <c r="E13" s="48"/>
      <c r="F13" s="74"/>
      <c r="G13" s="49"/>
      <c r="H13" s="50"/>
      <c r="I13" s="50"/>
      <c r="J13" s="50"/>
      <c r="K13" s="49"/>
      <c r="L13" s="13"/>
      <c r="M13" s="13"/>
      <c r="N13" s="14"/>
      <c r="O13" s="13"/>
      <c r="P13" s="53"/>
    </row>
    <row r="14" spans="1:16" ht="15" customHeight="1" x14ac:dyDescent="0.25">
      <c r="A14" s="115" t="s">
        <v>29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53"/>
    </row>
    <row r="15" spans="1:16" x14ac:dyDescent="0.25">
      <c r="A15" s="29"/>
      <c r="B15" s="46" t="s">
        <v>36</v>
      </c>
      <c r="C15" s="46" t="s">
        <v>62</v>
      </c>
      <c r="D15" s="9">
        <v>0.7</v>
      </c>
      <c r="E15" s="82">
        <v>5396</v>
      </c>
      <c r="F15" s="85">
        <f>ROUND(D15*E15,2)</f>
        <v>3777.2</v>
      </c>
      <c r="G15" s="80">
        <v>0.2</v>
      </c>
      <c r="H15" s="85">
        <f>ROUND(F15*G15,2)</f>
        <v>755.44</v>
      </c>
      <c r="I15" s="103">
        <v>1.6</v>
      </c>
      <c r="J15" s="85">
        <f>ROUND(F15*I15,2)</f>
        <v>6043.52</v>
      </c>
      <c r="K15" s="101">
        <v>0.76600000000000001</v>
      </c>
      <c r="L15" s="86">
        <f>ROUND(K15*F15,2)</f>
        <v>2893.34</v>
      </c>
      <c r="M15" s="86">
        <f>F15+H15+J15+L15</f>
        <v>13469.5</v>
      </c>
      <c r="N15" s="86">
        <f>ROUND(M15*0.4,2)</f>
        <v>5387.8</v>
      </c>
      <c r="O15" s="86">
        <f>M15+N15</f>
        <v>18857.3</v>
      </c>
      <c r="P15" s="102"/>
    </row>
    <row r="16" spans="1:16" x14ac:dyDescent="0.25">
      <c r="A16" s="29"/>
      <c r="B16" s="47" t="s">
        <v>28</v>
      </c>
      <c r="C16" s="47"/>
      <c r="D16" s="15">
        <f>SUM(D15:D15)</f>
        <v>0.7</v>
      </c>
      <c r="E16" s="83">
        <f>SUM(E15:E15)</f>
        <v>5396</v>
      </c>
      <c r="F16" s="89">
        <f>SUM(F15:F15)</f>
        <v>3777.2</v>
      </c>
      <c r="G16" s="25" t="s">
        <v>32</v>
      </c>
      <c r="H16" s="89">
        <f>SUM(H15:H15)</f>
        <v>755.44</v>
      </c>
      <c r="I16" s="25" t="s">
        <v>32</v>
      </c>
      <c r="J16" s="89">
        <f>SUM(J15:J15)</f>
        <v>6043.52</v>
      </c>
      <c r="K16" s="25" t="s">
        <v>32</v>
      </c>
      <c r="L16" s="89">
        <f>SUM(L15:L15)</f>
        <v>2893.34</v>
      </c>
      <c r="M16" s="89">
        <f>SUM(M15:M15)</f>
        <v>13469.5</v>
      </c>
      <c r="N16" s="89">
        <f>SUM(N15:N15)</f>
        <v>5387.8</v>
      </c>
      <c r="O16" s="89">
        <f>SUM(O15:O15)</f>
        <v>18857.3</v>
      </c>
      <c r="P16" s="53"/>
    </row>
    <row r="17" spans="1:16" x14ac:dyDescent="0.25">
      <c r="A17" s="29"/>
      <c r="B17" s="46"/>
      <c r="C17" s="46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53"/>
    </row>
    <row r="18" spans="1:16" x14ac:dyDescent="0.25">
      <c r="A18" s="116" t="s">
        <v>30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53"/>
    </row>
    <row r="19" spans="1:16" x14ac:dyDescent="0.25">
      <c r="A19" s="18"/>
      <c r="B19" s="18" t="s">
        <v>36</v>
      </c>
      <c r="C19" s="20" t="s">
        <v>59</v>
      </c>
      <c r="D19" s="19">
        <v>0.3</v>
      </c>
      <c r="E19" s="93">
        <v>5396</v>
      </c>
      <c r="F19" s="105">
        <f>ROUND(E19*D19,2)</f>
        <v>1618.8</v>
      </c>
      <c r="G19" s="92"/>
      <c r="H19" s="21">
        <f>ROUND(F19*G19,0)</f>
        <v>0</v>
      </c>
      <c r="I19" s="92">
        <v>1.6</v>
      </c>
      <c r="J19" s="21">
        <f>ROUND(F19*I19,2)</f>
        <v>2590.08</v>
      </c>
      <c r="K19" s="104">
        <v>0.96599999999999997</v>
      </c>
      <c r="L19" s="21">
        <f>ROUND(F19*K19,2)</f>
        <v>1563.76</v>
      </c>
      <c r="M19" s="105">
        <f>L19+J19+H19+F19</f>
        <v>5772.64</v>
      </c>
      <c r="N19" s="105">
        <f>ROUND(M19*0.4,2)</f>
        <v>2309.06</v>
      </c>
      <c r="O19" s="105">
        <f>N19+M19</f>
        <v>8081.7000000000007</v>
      </c>
      <c r="P19" s="102"/>
    </row>
    <row r="20" spans="1:16" x14ac:dyDescent="0.25">
      <c r="A20" s="18"/>
      <c r="B20" s="20" t="s">
        <v>28</v>
      </c>
      <c r="C20" s="20"/>
      <c r="D20" s="26">
        <f>SUM(D19:D19)</f>
        <v>0.3</v>
      </c>
      <c r="E20" s="94">
        <f>SUM(E19:E19)</f>
        <v>5396</v>
      </c>
      <c r="F20" s="106">
        <f>SUM(F19:F19)</f>
        <v>1618.8</v>
      </c>
      <c r="G20" s="26" t="s">
        <v>32</v>
      </c>
      <c r="H20" s="27">
        <f>SUM(H19:H19)</f>
        <v>0</v>
      </c>
      <c r="I20" s="26" t="s">
        <v>32</v>
      </c>
      <c r="J20" s="27">
        <f>SUM(J19:J19)</f>
        <v>2590.08</v>
      </c>
      <c r="K20" s="26" t="s">
        <v>32</v>
      </c>
      <c r="L20" s="27">
        <f>SUM(L19:L19)</f>
        <v>1563.76</v>
      </c>
      <c r="M20" s="106">
        <f>SUM(M19:M19)</f>
        <v>5772.64</v>
      </c>
      <c r="N20" s="106">
        <f>SUM(N19:N19)</f>
        <v>2309.06</v>
      </c>
      <c r="O20" s="106">
        <f>SUM(O19:O19)</f>
        <v>8081.7000000000007</v>
      </c>
      <c r="P20" s="53"/>
    </row>
    <row r="21" spans="1:16" x14ac:dyDescent="0.25">
      <c r="A21" s="18"/>
      <c r="B21" s="18"/>
      <c r="C21" s="18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53"/>
    </row>
    <row r="22" spans="1:16" x14ac:dyDescent="0.25">
      <c r="A22" s="118" t="s">
        <v>37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53"/>
    </row>
    <row r="23" spans="1:16" x14ac:dyDescent="0.25">
      <c r="A23" s="18"/>
      <c r="B23" s="18" t="s">
        <v>42</v>
      </c>
      <c r="C23" s="18" t="s">
        <v>57</v>
      </c>
      <c r="D23" s="19">
        <v>0.3</v>
      </c>
      <c r="E23" s="91">
        <v>5950</v>
      </c>
      <c r="F23" s="21">
        <f>ROUND(E23*D23,2)</f>
        <v>1785</v>
      </c>
      <c r="G23" s="92">
        <v>0.2</v>
      </c>
      <c r="H23" s="21">
        <f>ROUND(F23*G23,2)</f>
        <v>357</v>
      </c>
      <c r="I23" s="92">
        <v>1.6</v>
      </c>
      <c r="J23" s="21">
        <f>ROUND(F23*I23,2)</f>
        <v>2856</v>
      </c>
      <c r="K23" s="104">
        <v>0.434</v>
      </c>
      <c r="L23" s="21">
        <f>ROUND(K23*F23,2)</f>
        <v>774.69</v>
      </c>
      <c r="M23" s="105">
        <f>F23+H23+J23+L23</f>
        <v>5772.6900000000005</v>
      </c>
      <c r="N23" s="105">
        <f>ROUND(M23*0.4,2)</f>
        <v>2309.08</v>
      </c>
      <c r="O23" s="105">
        <f>N23+M23</f>
        <v>8081.77</v>
      </c>
      <c r="P23" s="102"/>
    </row>
    <row r="24" spans="1:16" x14ac:dyDescent="0.25">
      <c r="A24" s="18"/>
      <c r="B24" s="20" t="s">
        <v>28</v>
      </c>
      <c r="C24" s="20"/>
      <c r="D24" s="26">
        <f>SUM(D23)</f>
        <v>0.3</v>
      </c>
      <c r="E24" s="98">
        <f>SUM(E23)</f>
        <v>5950</v>
      </c>
      <c r="F24" s="27">
        <f>SUM(F23)</f>
        <v>1785</v>
      </c>
      <c r="G24" s="26" t="s">
        <v>32</v>
      </c>
      <c r="H24" s="27">
        <f>SUM(H23)</f>
        <v>357</v>
      </c>
      <c r="I24" s="26" t="s">
        <v>32</v>
      </c>
      <c r="J24" s="27">
        <f>SUM(J23)</f>
        <v>2856</v>
      </c>
      <c r="K24" s="26" t="s">
        <v>32</v>
      </c>
      <c r="L24" s="27">
        <f>SUM(L23)</f>
        <v>774.69</v>
      </c>
      <c r="M24" s="106">
        <f>M23</f>
        <v>5772.6900000000005</v>
      </c>
      <c r="N24" s="106">
        <f t="shared" ref="N24:O24" si="8">N23</f>
        <v>2309.08</v>
      </c>
      <c r="O24" s="106">
        <f t="shared" si="8"/>
        <v>8081.77</v>
      </c>
      <c r="P24" s="53"/>
    </row>
    <row r="25" spans="1:16" x14ac:dyDescent="0.25">
      <c r="A25" s="17"/>
      <c r="B25" s="17"/>
      <c r="C25" s="17"/>
      <c r="D25" s="17"/>
      <c r="E25" s="17"/>
      <c r="F25" s="108"/>
      <c r="G25" s="17"/>
      <c r="H25" s="17"/>
      <c r="I25" s="17"/>
      <c r="J25" s="17"/>
      <c r="K25" s="17"/>
      <c r="L25" s="17"/>
      <c r="M25" s="107"/>
      <c r="N25" s="107"/>
      <c r="O25" s="107"/>
      <c r="P25" s="53"/>
    </row>
    <row r="26" spans="1:16" x14ac:dyDescent="0.25">
      <c r="A26" s="113" t="s">
        <v>41</v>
      </c>
      <c r="B26" s="113"/>
      <c r="C26" s="77"/>
      <c r="D26" s="77">
        <f>D12+D16+D20+D24</f>
        <v>3.5999999999999996</v>
      </c>
      <c r="E26" s="95">
        <f>E24+E20+E16+E12</f>
        <v>44895</v>
      </c>
      <c r="F26" s="96">
        <f>F24+F20+F16+F12</f>
        <v>20184.8</v>
      </c>
      <c r="G26" s="75" t="s">
        <v>32</v>
      </c>
      <c r="H26" s="96">
        <f>H24+H20+H16+H12</f>
        <v>2736.58</v>
      </c>
      <c r="I26" s="75" t="s">
        <v>32</v>
      </c>
      <c r="J26" s="96">
        <f>J24+J20+J16+J12</f>
        <v>32295.68</v>
      </c>
      <c r="K26" s="75" t="s">
        <v>32</v>
      </c>
      <c r="L26" s="96">
        <f>L24+L20+L16+L12</f>
        <v>14054.990000000002</v>
      </c>
      <c r="M26" s="70">
        <f>M24+M20+M16+M12</f>
        <v>69272.05</v>
      </c>
      <c r="N26" s="70">
        <f>N24+N20+N16+N12</f>
        <v>27708.829999999998</v>
      </c>
      <c r="O26" s="70">
        <f>O24+O20+O16+O12</f>
        <v>96980.88</v>
      </c>
      <c r="P26" s="97"/>
    </row>
  </sheetData>
  <mergeCells count="12">
    <mergeCell ref="A2:F2"/>
    <mergeCell ref="N2:N3"/>
    <mergeCell ref="O2:O3"/>
    <mergeCell ref="G2:H3"/>
    <mergeCell ref="I2:J3"/>
    <mergeCell ref="K2:L3"/>
    <mergeCell ref="M2:M3"/>
    <mergeCell ref="A26:B26"/>
    <mergeCell ref="A6:O6"/>
    <mergeCell ref="A14:O14"/>
    <mergeCell ref="A18:O18"/>
    <mergeCell ref="A22:O22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topLeftCell="A13" zoomScale="130" zoomScaleNormal="100" zoomScaleSheetLayoutView="130" workbookViewId="0">
      <selection activeCell="D23" sqref="D23"/>
    </sheetView>
  </sheetViews>
  <sheetFormatPr defaultRowHeight="15" x14ac:dyDescent="0.25"/>
  <cols>
    <col min="1" max="1" width="34.5703125" customWidth="1"/>
    <col min="2" max="2" width="12.28515625" customWidth="1"/>
    <col min="3" max="3" width="19.5703125" customWidth="1"/>
    <col min="4" max="4" width="14.28515625" customWidth="1"/>
    <col min="5" max="6" width="15.7109375" customWidth="1"/>
    <col min="7" max="7" width="12.28515625" customWidth="1"/>
    <col min="8" max="8" width="15.42578125" customWidth="1"/>
  </cols>
  <sheetData>
    <row r="1" spans="1:8" x14ac:dyDescent="0.25">
      <c r="A1" s="128" t="s">
        <v>54</v>
      </c>
      <c r="B1" s="128"/>
      <c r="C1" s="128"/>
      <c r="D1" s="128"/>
      <c r="E1" s="128"/>
      <c r="F1" s="56"/>
    </row>
    <row r="3" spans="1:8" x14ac:dyDescent="0.25">
      <c r="E3" t="s">
        <v>11</v>
      </c>
    </row>
    <row r="4" spans="1:8" ht="30" customHeight="1" x14ac:dyDescent="0.25">
      <c r="A4" s="112" t="s">
        <v>1</v>
      </c>
      <c r="B4" s="109" t="s">
        <v>2</v>
      </c>
      <c r="C4" s="109" t="s">
        <v>45</v>
      </c>
      <c r="D4" s="133" t="s">
        <v>44</v>
      </c>
      <c r="E4" s="109" t="s">
        <v>46</v>
      </c>
      <c r="F4" s="109" t="s">
        <v>53</v>
      </c>
      <c r="G4" s="68"/>
      <c r="H4" s="61"/>
    </row>
    <row r="5" spans="1:8" x14ac:dyDescent="0.25">
      <c r="A5" s="112"/>
      <c r="B5" s="109"/>
      <c r="C5" s="109"/>
      <c r="D5" s="134"/>
      <c r="E5" s="109"/>
      <c r="F5" s="109"/>
      <c r="G5" s="61"/>
    </row>
    <row r="6" spans="1:8" ht="15" customHeight="1" x14ac:dyDescent="0.25">
      <c r="A6" s="110" t="s">
        <v>12</v>
      </c>
      <c r="B6" s="110"/>
      <c r="C6" s="110"/>
      <c r="D6" s="110"/>
      <c r="E6" s="110"/>
      <c r="F6" s="54"/>
      <c r="G6" s="61"/>
    </row>
    <row r="7" spans="1:8" ht="16.5" customHeight="1" x14ac:dyDescent="0.25">
      <c r="A7" s="64" t="str">
        <f>муниципалы!A13</f>
        <v>Глава сельского поселения</v>
      </c>
      <c r="B7" s="69">
        <f>муниципалы!B13</f>
        <v>1</v>
      </c>
      <c r="C7" s="70">
        <f>муниципалы!N13</f>
        <v>40411</v>
      </c>
      <c r="D7" s="70">
        <f>муниципалы!C13*0.6</f>
        <v>6927.5999999999995</v>
      </c>
      <c r="E7" s="70">
        <f>C7*12+D7</f>
        <v>491859.6</v>
      </c>
      <c r="F7" s="70">
        <f>E7*1.302</f>
        <v>640401.19920000003</v>
      </c>
      <c r="G7" s="62" t="s">
        <v>47</v>
      </c>
      <c r="H7" s="66">
        <f>F7</f>
        <v>640401.19920000003</v>
      </c>
    </row>
    <row r="8" spans="1:8" ht="16.5" customHeight="1" x14ac:dyDescent="0.25">
      <c r="A8" s="57" t="str">
        <f>муниципалы!A14</f>
        <v>Ведущий специалист 1 разряда</v>
      </c>
      <c r="B8" s="59">
        <f>муниципалы!B14</f>
        <v>1</v>
      </c>
      <c r="C8" s="71">
        <v>26939</v>
      </c>
      <c r="D8" s="71">
        <f>муниципалы!C14*2</f>
        <v>8680</v>
      </c>
      <c r="E8" s="71">
        <f>C8*12+D8</f>
        <v>331948</v>
      </c>
      <c r="F8" s="71">
        <f t="shared" ref="F8:F23" si="0">E8*1.302</f>
        <v>432196.29600000003</v>
      </c>
      <c r="G8" s="62"/>
      <c r="H8" s="66">
        <f>(26939*12+8680)*1.302</f>
        <v>432196.29600000003</v>
      </c>
    </row>
    <row r="9" spans="1:8" ht="16.5" customHeight="1" x14ac:dyDescent="0.25">
      <c r="A9" s="64" t="str">
        <f>муниципалы!A15</f>
        <v>Итого по разделу 1</v>
      </c>
      <c r="B9" s="69">
        <f>муниципалы!B15</f>
        <v>2</v>
      </c>
      <c r="C9" s="70">
        <f>SUM(C7:C8)</f>
        <v>67350</v>
      </c>
      <c r="D9" s="70">
        <f>SUM(D7:D8)</f>
        <v>15607.599999999999</v>
      </c>
      <c r="E9" s="70">
        <f>SUM(E7:E8)</f>
        <v>823807.6</v>
      </c>
      <c r="F9" s="70">
        <f t="shared" si="0"/>
        <v>1072597.4952</v>
      </c>
      <c r="G9" s="62"/>
    </row>
    <row r="10" spans="1:8" x14ac:dyDescent="0.25">
      <c r="A10" s="113" t="str">
        <f>'Спец. тех персонал'!A2:E2</f>
        <v>Раздел 2 "Технический и обслуживающий персонал"</v>
      </c>
      <c r="B10" s="113"/>
      <c r="C10" s="113"/>
      <c r="D10" s="113"/>
      <c r="E10" s="113"/>
      <c r="F10" s="60"/>
      <c r="G10" s="62" t="s">
        <v>48</v>
      </c>
      <c r="H10" s="66">
        <f>F8+F17+F20+F23</f>
        <v>1779066.49704</v>
      </c>
    </row>
    <row r="11" spans="1:8" x14ac:dyDescent="0.25">
      <c r="A11" s="129" t="s">
        <v>26</v>
      </c>
      <c r="B11" s="130"/>
      <c r="C11" s="130"/>
      <c r="D11" s="130"/>
      <c r="E11" s="131"/>
      <c r="F11" s="60"/>
      <c r="G11" s="61"/>
    </row>
    <row r="12" spans="1:8" x14ac:dyDescent="0.25">
      <c r="A12" s="58" t="str">
        <f>'Спец. тех персонал'!B7</f>
        <v>Специалист</v>
      </c>
      <c r="B12" s="59">
        <f>'Спец. тех персонал'!D7</f>
        <v>0.5</v>
      </c>
      <c r="C12" s="71">
        <f>'Спец. тех персонал'!O7</f>
        <v>13469.61</v>
      </c>
      <c r="D12" s="71"/>
      <c r="E12" s="71">
        <f>C12*12</f>
        <v>161635.32</v>
      </c>
      <c r="F12" s="71">
        <f t="shared" si="0"/>
        <v>210449.18664000003</v>
      </c>
      <c r="G12" s="61"/>
    </row>
    <row r="13" spans="1:8" x14ac:dyDescent="0.25">
      <c r="A13" s="58" t="str">
        <f>'Спец. тех персонал'!B8</f>
        <v>Экономист</v>
      </c>
      <c r="B13" s="59">
        <f>'Спец. тех персонал'!D8</f>
        <v>0.5</v>
      </c>
      <c r="C13" s="71">
        <f>'Спец. тех персонал'!O8</f>
        <v>13469.61</v>
      </c>
      <c r="D13" s="71"/>
      <c r="E13" s="71">
        <f t="shared" ref="E13:E15" si="1">C13*12</f>
        <v>161635.32</v>
      </c>
      <c r="F13" s="71">
        <f t="shared" si="0"/>
        <v>210449.18664000003</v>
      </c>
      <c r="G13" s="61"/>
    </row>
    <row r="14" spans="1:8" x14ac:dyDescent="0.25">
      <c r="A14" s="58" t="str">
        <f>'Спец. тех персонал'!B9</f>
        <v>Водитель</v>
      </c>
      <c r="B14" s="59">
        <f>'Спец. тех персонал'!D9</f>
        <v>0.6</v>
      </c>
      <c r="C14" s="71">
        <f>'Спец. тех персонал'!O9</f>
        <v>16163.6</v>
      </c>
      <c r="D14" s="71"/>
      <c r="E14" s="71">
        <f t="shared" si="1"/>
        <v>193963.2</v>
      </c>
      <c r="F14" s="71">
        <f t="shared" si="0"/>
        <v>252540.08640000003</v>
      </c>
      <c r="G14" s="61"/>
    </row>
    <row r="15" spans="1:8" x14ac:dyDescent="0.25">
      <c r="A15" s="58" t="str">
        <f>'Спец. тех персонал'!B10</f>
        <v>Разнорабочий</v>
      </c>
      <c r="B15" s="59">
        <f>'Спец. тех персонал'!D10</f>
        <v>0.3</v>
      </c>
      <c r="C15" s="71">
        <f>'Спец. тех персонал'!O10</f>
        <v>8081.7000000000007</v>
      </c>
      <c r="D15" s="71"/>
      <c r="E15" s="71">
        <f t="shared" si="1"/>
        <v>96980.400000000009</v>
      </c>
      <c r="F15" s="71">
        <f t="shared" si="0"/>
        <v>126268.48080000002</v>
      </c>
      <c r="G15" s="61"/>
    </row>
    <row r="16" spans="1:8" x14ac:dyDescent="0.25">
      <c r="A16" s="58" t="str">
        <f>'Спец. тех персонал'!B11</f>
        <v>Разнорабочий</v>
      </c>
      <c r="B16" s="59">
        <f>'Спец. тех персонал'!D11</f>
        <v>0.4</v>
      </c>
      <c r="C16" s="71">
        <f>'Спец. тех персонал'!O11</f>
        <v>10775.59</v>
      </c>
      <c r="D16" s="71"/>
      <c r="E16" s="71">
        <f t="shared" ref="E16" si="2">C16*12</f>
        <v>129307.08</v>
      </c>
      <c r="F16" s="71">
        <f t="shared" ref="F16" si="3">E16*1.302</f>
        <v>168357.81816</v>
      </c>
      <c r="G16" s="61"/>
    </row>
    <row r="17" spans="1:8" x14ac:dyDescent="0.25">
      <c r="A17" s="63" t="str">
        <f>'Спец. тех персонал'!B12</f>
        <v>Итого:</v>
      </c>
      <c r="B17" s="69">
        <f>'Спец. тех персонал'!D12</f>
        <v>2.3000000000000003</v>
      </c>
      <c r="C17" s="70">
        <f>'Спец. тех персонал'!O12</f>
        <v>61960.11</v>
      </c>
      <c r="D17" s="70"/>
      <c r="E17" s="70">
        <f>SUM(E12:E16)</f>
        <v>743521.32</v>
      </c>
      <c r="F17" s="70">
        <f t="shared" si="0"/>
        <v>968064.75864000001</v>
      </c>
      <c r="G17" s="61"/>
    </row>
    <row r="18" spans="1:8" x14ac:dyDescent="0.25">
      <c r="A18" s="132" t="s">
        <v>29</v>
      </c>
      <c r="B18" s="132"/>
      <c r="C18" s="132"/>
      <c r="D18" s="132"/>
      <c r="E18" s="132"/>
      <c r="F18" s="60"/>
      <c r="G18" s="61"/>
    </row>
    <row r="19" spans="1:8" x14ac:dyDescent="0.25">
      <c r="A19" s="58" t="str">
        <f>'Спец. тех персонал'!B15</f>
        <v>Разнорабочий</v>
      </c>
      <c r="B19" s="59">
        <f>'Спец. тех персонал'!D15</f>
        <v>0.7</v>
      </c>
      <c r="C19" s="71">
        <f>'Спец. тех персонал'!O15</f>
        <v>18857.3</v>
      </c>
      <c r="D19" s="71"/>
      <c r="E19" s="71">
        <f>C19*12</f>
        <v>226287.59999999998</v>
      </c>
      <c r="F19" s="71">
        <f t="shared" si="0"/>
        <v>294626.45519999997</v>
      </c>
      <c r="G19" s="61"/>
    </row>
    <row r="20" spans="1:8" x14ac:dyDescent="0.25">
      <c r="A20" s="63" t="str">
        <f>'Спец. тех персонал'!B16</f>
        <v>Итого:</v>
      </c>
      <c r="B20" s="69">
        <f>'Спец. тех персонал'!D16</f>
        <v>0.7</v>
      </c>
      <c r="C20" s="70">
        <f>'Спец. тех персонал'!O16</f>
        <v>18857.3</v>
      </c>
      <c r="D20" s="70"/>
      <c r="E20" s="70">
        <f>SUM(E19:E19)</f>
        <v>226287.59999999998</v>
      </c>
      <c r="F20" s="70">
        <f>E20*1.302</f>
        <v>294626.45519999997</v>
      </c>
      <c r="G20" s="61"/>
    </row>
    <row r="21" spans="1:8" x14ac:dyDescent="0.25">
      <c r="A21" s="132" t="s">
        <v>66</v>
      </c>
      <c r="B21" s="132"/>
      <c r="C21" s="132"/>
      <c r="D21" s="132"/>
      <c r="E21" s="132"/>
      <c r="F21" s="60"/>
      <c r="G21" s="61"/>
    </row>
    <row r="22" spans="1:8" x14ac:dyDescent="0.25">
      <c r="A22" s="58" t="str">
        <f>'Спец. тех персонал'!B19</f>
        <v>Разнорабочий</v>
      </c>
      <c r="B22" s="59">
        <f>'Спец. тех персонал'!D19</f>
        <v>0.3</v>
      </c>
      <c r="C22" s="71">
        <f>'Спец. тех персонал'!O19</f>
        <v>8081.7000000000007</v>
      </c>
      <c r="D22" s="71"/>
      <c r="E22" s="71">
        <f>C22*8</f>
        <v>64653.600000000006</v>
      </c>
      <c r="F22" s="71">
        <f t="shared" si="0"/>
        <v>84178.987200000018</v>
      </c>
      <c r="G22" s="61"/>
    </row>
    <row r="23" spans="1:8" x14ac:dyDescent="0.25">
      <c r="A23" s="63" t="str">
        <f>'Спец. тех персонал'!B20</f>
        <v>Итого:</v>
      </c>
      <c r="B23" s="69">
        <f>'Спец. тех персонал'!D20</f>
        <v>0.3</v>
      </c>
      <c r="C23" s="70">
        <f>'Спец. тех персонал'!O20</f>
        <v>8081.7000000000007</v>
      </c>
      <c r="D23" s="70"/>
      <c r="E23" s="70">
        <f>SUM(E22:E22)</f>
        <v>64653.600000000006</v>
      </c>
      <c r="F23" s="70">
        <f t="shared" si="0"/>
        <v>84178.987200000018</v>
      </c>
      <c r="G23" s="61"/>
    </row>
    <row r="24" spans="1:8" x14ac:dyDescent="0.25">
      <c r="A24" s="63"/>
      <c r="B24" s="63"/>
      <c r="C24" s="58"/>
      <c r="D24" s="58"/>
      <c r="E24" s="58"/>
      <c r="F24" s="60"/>
      <c r="G24" s="61"/>
    </row>
    <row r="25" spans="1:8" x14ac:dyDescent="0.25">
      <c r="A25" s="58" t="str">
        <f>'Спец. тех персонал'!B23</f>
        <v>Специалист  ВУС</v>
      </c>
      <c r="B25" s="59">
        <f>'Спец. тех персонал'!D23</f>
        <v>0.3</v>
      </c>
      <c r="C25" s="71">
        <f>'Спец. тех персонал'!O23</f>
        <v>8081.77</v>
      </c>
      <c r="D25" s="71"/>
      <c r="E25" s="71">
        <f>C25*12</f>
        <v>96981.24</v>
      </c>
      <c r="F25" s="71">
        <f>E25*1.302+11705.6</f>
        <v>137975.17448000002</v>
      </c>
      <c r="G25" s="62" t="s">
        <v>50</v>
      </c>
      <c r="H25" s="66">
        <f>F26</f>
        <v>137975.17448000002</v>
      </c>
    </row>
    <row r="26" spans="1:8" x14ac:dyDescent="0.25">
      <c r="A26" s="63" t="str">
        <f>'Спец. тех персонал'!B24</f>
        <v>Итого:</v>
      </c>
      <c r="B26" s="69">
        <f>'Спец. тех персонал'!D24</f>
        <v>0.3</v>
      </c>
      <c r="C26" s="70">
        <f>'Спец. тех персонал'!O24</f>
        <v>8081.77</v>
      </c>
      <c r="D26" s="70"/>
      <c r="E26" s="70">
        <f>C26*12</f>
        <v>96981.24</v>
      </c>
      <c r="F26" s="70">
        <f>E26*1.302+11705.6</f>
        <v>137975.17448000002</v>
      </c>
      <c r="G26" s="61"/>
    </row>
    <row r="27" spans="1:8" x14ac:dyDescent="0.25">
      <c r="A27" s="63"/>
      <c r="B27" s="63"/>
      <c r="C27" s="65"/>
      <c r="D27" s="65"/>
      <c r="E27" s="65"/>
      <c r="F27" s="60"/>
      <c r="G27" s="61"/>
    </row>
    <row r="28" spans="1:8" x14ac:dyDescent="0.25">
      <c r="A28" s="63" t="s">
        <v>52</v>
      </c>
      <c r="B28" s="69">
        <f>B8+B17+B20+B23</f>
        <v>4.3</v>
      </c>
      <c r="C28" s="70">
        <f>C8+C17+C20+C23</f>
        <v>115838.11</v>
      </c>
      <c r="D28" s="70">
        <f>D8</f>
        <v>8680</v>
      </c>
      <c r="E28" s="70">
        <f>E8+E17+E20+E23</f>
        <v>1366410.52</v>
      </c>
      <c r="F28" s="70">
        <f>F8+F17+F20+F23</f>
        <v>1779066.49704</v>
      </c>
      <c r="G28" s="61"/>
    </row>
    <row r="29" spans="1:8" x14ac:dyDescent="0.25">
      <c r="A29" s="58"/>
      <c r="B29" s="59"/>
      <c r="C29" s="71"/>
      <c r="D29" s="71"/>
      <c r="E29" s="71"/>
      <c r="F29" s="70"/>
      <c r="G29" s="61"/>
    </row>
    <row r="30" spans="1:8" x14ac:dyDescent="0.25">
      <c r="A30" s="63" t="s">
        <v>51</v>
      </c>
      <c r="B30" s="69">
        <f>'Спец. тех персонал'!D26</f>
        <v>3.5999999999999996</v>
      </c>
      <c r="C30" s="70">
        <f>C28+C26</f>
        <v>123919.88</v>
      </c>
      <c r="D30" s="70">
        <f>D28</f>
        <v>8680</v>
      </c>
      <c r="E30" s="70">
        <f>E26+E28</f>
        <v>1463391.76</v>
      </c>
      <c r="F30" s="70">
        <f>F28+F26</f>
        <v>1917041.6715200001</v>
      </c>
      <c r="G30" s="61"/>
    </row>
    <row r="31" spans="1:8" x14ac:dyDescent="0.25">
      <c r="A31" s="58"/>
      <c r="B31" s="59"/>
      <c r="C31" s="71"/>
      <c r="D31" s="71"/>
      <c r="E31" s="71"/>
      <c r="F31" s="70"/>
      <c r="G31" s="61"/>
    </row>
    <row r="32" spans="1:8" ht="15.75" x14ac:dyDescent="0.25">
      <c r="A32" s="67" t="s">
        <v>49</v>
      </c>
      <c r="B32" s="72">
        <f>B9+B30</f>
        <v>5.6</v>
      </c>
      <c r="C32" s="73">
        <f>C30+C7</f>
        <v>164330.88</v>
      </c>
      <c r="D32" s="73">
        <f>D30+D7</f>
        <v>15607.599999999999</v>
      </c>
      <c r="E32" s="73">
        <f>E30+E7</f>
        <v>1955251.3599999999</v>
      </c>
      <c r="F32" s="70">
        <f>F30+F7</f>
        <v>2557442.87072</v>
      </c>
      <c r="G32" s="61"/>
      <c r="H32" s="66"/>
    </row>
  </sheetData>
  <mergeCells count="12">
    <mergeCell ref="A18:E18"/>
    <mergeCell ref="A21:E21"/>
    <mergeCell ref="A4:A5"/>
    <mergeCell ref="B4:B5"/>
    <mergeCell ref="C4:C5"/>
    <mergeCell ref="D4:D5"/>
    <mergeCell ref="A1:E1"/>
    <mergeCell ref="A11:E11"/>
    <mergeCell ref="F4:F5"/>
    <mergeCell ref="E4:E5"/>
    <mergeCell ref="A10:E10"/>
    <mergeCell ref="A6:E6"/>
  </mergeCells>
  <pageMargins left="0.7" right="0.7" top="0.75" bottom="0.75" header="0.3" footer="0.3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муниципалы</vt:lpstr>
      <vt:lpstr>Спец. тех персонал</vt:lpstr>
      <vt:lpstr>ФОТ годовой</vt:lpstr>
      <vt:lpstr>'ФОТ годовой'!Область_печати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biyka</dc:creator>
  <cp:lastModifiedBy>Бухгалтер-4</cp:lastModifiedBy>
  <cp:lastPrinted>2023-11-02T05:25:11Z</cp:lastPrinted>
  <dcterms:created xsi:type="dcterms:W3CDTF">2016-11-12T03:26:36Z</dcterms:created>
  <dcterms:modified xsi:type="dcterms:W3CDTF">2024-09-16T03:02:39Z</dcterms:modified>
</cp:coreProperties>
</file>